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ynthèse" sheetId="1" state="visible" r:id="rId1"/>
    <sheet xmlns:r="http://schemas.openxmlformats.org/officeDocument/2006/relationships" name="Calculs" sheetId="2" state="visible" r:id="rId2"/>
    <sheet xmlns:r="http://schemas.openxmlformats.org/officeDocument/2006/relationships" name="Cotisations" sheetId="3" state="visible" r:id="rId3"/>
    <sheet xmlns:r="http://schemas.openxmlformats.org/officeDocument/2006/relationships" name="Barèmes" sheetId="4" state="visible" r:id="rId4"/>
    <sheet xmlns:r="http://schemas.openxmlformats.org/officeDocument/2006/relationships" name="Règles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#,##0.00&quot; €&quot;"/>
    <numFmt numFmtId="165" formatCode="#,##0&quot; €&quot;"/>
    <numFmt numFmtId="166" formatCode="0.0000%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color rgb="FF88A096"/>
      <sz val="10"/>
    </font>
    <font>
      <name val="Arial"/>
      <charset val="1"/>
      <family val="0"/>
      <b val="1"/>
      <color rgb="FF1A2F2A"/>
      <sz val="18"/>
    </font>
    <font>
      <name val="Arial"/>
      <charset val="1"/>
      <family val="0"/>
      <i val="1"/>
      <color rgb="FF88A096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color rgb="FF1A2F2A"/>
      <sz val="11"/>
    </font>
    <font>
      <name val="Arial"/>
      <charset val="1"/>
      <family val="0"/>
      <color rgb="FF0000AA"/>
      <sz val="11"/>
    </font>
    <font>
      <name val="Arial"/>
      <charset val="1"/>
      <family val="0"/>
      <b val="1"/>
      <color rgb="FF1A2F2A"/>
      <sz val="11"/>
    </font>
    <font>
      <name val="Arial"/>
      <charset val="1"/>
      <family val="0"/>
      <b val="1"/>
      <color rgb="FF1A2F2A"/>
      <sz val="12"/>
    </font>
    <font>
      <name val="Arial"/>
      <charset val="1"/>
      <family val="0"/>
      <b val="1"/>
      <color rgb="FF1A2F2A"/>
      <sz val="16"/>
    </font>
    <font>
      <name val="Arial"/>
      <charset val="1"/>
      <family val="0"/>
      <color rgb="FF000000"/>
      <sz val="11"/>
    </font>
    <font>
      <name val="Arial"/>
      <charset val="1"/>
      <family val="0"/>
      <i val="1"/>
      <color rgb="FF6B6B63"/>
      <sz val="9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Arial"/>
      <charset val="1"/>
      <family val="0"/>
      <color rgb="FF6B6B63"/>
      <sz val="10"/>
    </font>
  </fonts>
  <fills count="7">
    <fill>
      <patternFill/>
    </fill>
    <fill>
      <patternFill patternType="gray125"/>
    </fill>
    <fill>
      <patternFill patternType="solid">
        <fgColor rgb="FFF9F7F2"/>
        <bgColor rgb="FFF9F9F9"/>
      </patternFill>
    </fill>
    <fill>
      <patternFill patternType="solid">
        <fgColor rgb="FF1A2F2A"/>
        <bgColor rgb="FF333300"/>
      </patternFill>
    </fill>
    <fill>
      <patternFill patternType="solid">
        <fgColor rgb="FFE8F0E8"/>
        <bgColor rgb="FFF9F7F2"/>
      </patternFill>
    </fill>
    <fill>
      <patternFill patternType="solid">
        <fgColor rgb="FFFDE9D9"/>
        <bgColor rgb="FFE8F0E8"/>
      </patternFill>
    </fill>
    <fill>
      <patternFill patternType="solid">
        <fgColor rgb="FFCFFFE5"/>
        <bgColor rgb="FFE8F0E8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4CDC3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8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general" vertical="bottom"/>
    </xf>
    <xf numFmtId="164" fontId="9" fillId="4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general" vertical="bottom"/>
    </xf>
    <xf numFmtId="164" fontId="11" fillId="5" borderId="0" applyAlignment="1" pivotButton="0" quotePrefix="0" xfId="0">
      <alignment horizontal="general" vertical="bottom"/>
    </xf>
    <xf numFmtId="0" fontId="9" fillId="4" borderId="0" applyAlignment="1" pivotButton="0" quotePrefix="0" xfId="0">
      <alignment horizontal="general" vertical="bottom"/>
    </xf>
    <xf numFmtId="164" fontId="10" fillId="6" borderId="0" applyAlignment="1" pivotButton="0" quotePrefix="0" xfId="0">
      <alignment horizontal="general" vertical="bottom"/>
    </xf>
    <xf numFmtId="4" fontId="9" fillId="4" borderId="0" applyAlignment="1" pivotButton="0" quotePrefix="0" xfId="0">
      <alignment horizontal="general" vertical="bottom"/>
    </xf>
    <xf numFmtId="3" fontId="9" fillId="4" borderId="0" applyAlignment="1" pivotButton="0" quotePrefix="0" xfId="0">
      <alignment horizontal="general" vertical="bottom"/>
    </xf>
    <xf numFmtId="164" fontId="12" fillId="6" borderId="0" applyAlignment="1" pivotButton="0" quotePrefix="0" xfId="0">
      <alignment horizontal="general" vertical="bottom"/>
    </xf>
    <xf numFmtId="164" fontId="13" fillId="2" borderId="0" applyAlignment="1" pivotButton="0" quotePrefix="0" xfId="0">
      <alignment horizontal="general" vertical="bottom"/>
    </xf>
    <xf numFmtId="49" fontId="9" fillId="4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0" fontId="7" fillId="2" borderId="0" applyAlignment="1" pivotButton="0" quotePrefix="0" xfId="0">
      <alignment horizontal="general" vertical="bottom"/>
    </xf>
    <xf numFmtId="165" fontId="9" fillId="4" borderId="0" applyAlignment="1" pivotButton="0" quotePrefix="0" xfId="0">
      <alignment horizontal="general" vertical="bottom"/>
    </xf>
    <xf numFmtId="0" fontId="1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10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4" fontId="13" fillId="0" borderId="0" applyAlignment="1" pivotButton="0" quotePrefix="0" xfId="0">
      <alignment horizontal="general" vertical="bottom"/>
    </xf>
    <xf numFmtId="10" fontId="13" fillId="0" borderId="0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3" fontId="13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5" fontId="13" fillId="0" borderId="0" applyAlignment="1" pivotButton="0" quotePrefix="0" xfId="0">
      <alignment horizontal="general" vertical="bottom"/>
    </xf>
    <xf numFmtId="0" fontId="13" fillId="2" borderId="0" applyAlignment="1" pivotButton="0" quotePrefix="0" xfId="0">
      <alignment horizontal="general" vertical="bottom"/>
    </xf>
    <xf numFmtId="10" fontId="13" fillId="2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10" fontId="10" fillId="0" borderId="0" applyAlignment="1" pivotButton="0" quotePrefix="0" xfId="0">
      <alignment horizontal="general" vertical="bottom"/>
    </xf>
    <xf numFmtId="166" fontId="13" fillId="2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general" vertical="bottom"/>
    </xf>
    <xf numFmtId="164" fontId="9" fillId="4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general" vertical="bottom"/>
    </xf>
    <xf numFmtId="164" fontId="11" fillId="5" borderId="0" applyAlignment="1" pivotButton="0" quotePrefix="0" xfId="0">
      <alignment horizontal="general" vertical="bottom"/>
    </xf>
    <xf numFmtId="0" fontId="9" fillId="4" borderId="0" applyAlignment="1" pivotButton="0" quotePrefix="0" xfId="0">
      <alignment horizontal="general" vertical="bottom"/>
    </xf>
    <xf numFmtId="164" fontId="10" fillId="6" borderId="0" applyAlignment="1" pivotButton="0" quotePrefix="0" xfId="0">
      <alignment horizontal="general" vertical="bottom"/>
    </xf>
    <xf numFmtId="4" fontId="9" fillId="4" borderId="0" applyAlignment="1" pivotButton="0" quotePrefix="0" xfId="0">
      <alignment horizontal="general" vertical="bottom"/>
    </xf>
    <xf numFmtId="3" fontId="9" fillId="4" borderId="0" applyAlignment="1" pivotButton="0" quotePrefix="0" xfId="0">
      <alignment horizontal="general" vertical="bottom"/>
    </xf>
    <xf numFmtId="164" fontId="12" fillId="6" borderId="0" applyAlignment="1" pivotButton="0" quotePrefix="0" xfId="0">
      <alignment horizontal="general" vertical="bottom"/>
    </xf>
    <xf numFmtId="164" fontId="13" fillId="2" borderId="0" applyAlignment="1" pivotButton="0" quotePrefix="0" xfId="0">
      <alignment horizontal="general" vertical="bottom"/>
    </xf>
    <xf numFmtId="49" fontId="9" fillId="4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0" fontId="7" fillId="2" borderId="0" applyAlignment="1" pivotButton="0" quotePrefix="0" xfId="0">
      <alignment horizontal="general" vertical="bottom"/>
    </xf>
    <xf numFmtId="165" fontId="9" fillId="4" borderId="0" applyAlignment="1" pivotButton="0" quotePrefix="0" xfId="0">
      <alignment horizontal="general" vertical="bottom"/>
    </xf>
    <xf numFmtId="0" fontId="1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10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4" fontId="13" fillId="0" borderId="0" applyAlignment="1" pivotButton="0" quotePrefix="0" xfId="0">
      <alignment horizontal="general" vertical="bottom"/>
    </xf>
    <xf numFmtId="10" fontId="13" fillId="0" borderId="0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3" fontId="13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5" fontId="13" fillId="0" borderId="0" applyAlignment="1" pivotButton="0" quotePrefix="0" xfId="0">
      <alignment horizontal="general" vertical="bottom"/>
    </xf>
    <xf numFmtId="0" fontId="13" fillId="2" borderId="0" applyAlignment="1" pivotButton="0" quotePrefix="0" xfId="0">
      <alignment horizontal="general" vertical="bottom"/>
    </xf>
    <xf numFmtId="10" fontId="13" fillId="2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10" fontId="10" fillId="0" borderId="0" applyAlignment="1" pivotButton="0" quotePrefix="0" xfId="0">
      <alignment horizontal="general" vertical="bottom"/>
    </xf>
    <xf numFmtId="166" fontId="13" fillId="2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A"/>
      <rgbColor rgb="FF808000"/>
      <rgbColor rgb="FF800080"/>
      <rgbColor rgb="FF008080"/>
      <rgbColor rgb="FFD4CDC3"/>
      <rgbColor rgb="FF4F81BD"/>
      <rgbColor rgb="FF9999FF"/>
      <rgbColor rgb="FF993366"/>
      <rgbColor rgb="FFF9F7F2"/>
      <rgbColor rgb="FFE8F0E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CFFFE5"/>
      <rgbColor rgb="FFFDE9D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3"/>
      <rgbColor rgb="FF88A096"/>
      <rgbColor rgb="FF003366"/>
      <rgbColor rgb="FF339966"/>
      <rgbColor rgb="FF003300"/>
      <rgbColor rgb="FF333300"/>
      <rgbColor rgb="FF993300"/>
      <rgbColor rgb="FF993366"/>
      <rgbColor rgb="FF333399"/>
      <rgbColor rgb="FF1A2F2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Qui paie quoi ?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pieChart>
        <varyColors val="1"/>
        <ser>
          <idx val="0"/>
          <order val="0"/>
          <spPr>
            <a:solidFill xmlns:a="http://schemas.openxmlformats.org/drawingml/2006/main">
              <a:srgbClr val="4f81b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explosion val="0"/>
          <dPt>
            <idx val="0"/>
            <spPr>
              <a:solidFill xmlns:a="http://schemas.openxmlformats.org/drawingml/2006/main">
                <a:srgbClr val="1a2f2a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Pt>
            <idx val="1"/>
            <spPr>
              <a:solidFill xmlns:a="http://schemas.openxmlformats.org/drawingml/2006/main">
                <a:srgbClr val="88a096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Pt>
            <idx val="2"/>
            <spPr>
              <a:solidFill xmlns:a="http://schemas.openxmlformats.org/drawingml/2006/main">
                <a:srgbClr val="cfffe5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Lbls>
            <dLbl>
              <idx val="0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1"/>
              <showSerName val="1"/>
              <showPercent val="1"/>
            </dLbl>
            <dLbl>
              <idx val="1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1"/>
              <showSerName val="1"/>
              <showPercent val="1"/>
            </dLbl>
            <dLbl>
              <idx val="2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1"/>
              <showSerName val="1"/>
              <showPercent val="1"/>
            </dLbl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r>
                  <a:t/>
                </a:r>
              </a:p>
            </txPr>
            <dLblPos val="bestFit"/>
            <showLegendKey val="1"/>
            <showVal val="0"/>
            <showCatName val="1"/>
            <showSerName val="1"/>
            <showPercent val="1"/>
            <showLeaderLines val="1"/>
          </dLbls>
          <cat>
            <strRef>
              <f>Synthèse!$E$17:$E$19</f>
              <strCache>
                <ptCount val="3"/>
                <pt idx="0">
                  <v>Vous payez (après CI)</v>
                </pt>
                <pt idx="1">
                  <v>La CAF paie (CMG rém + CMG cot)</v>
                </pt>
                <pt idx="2">
                  <v>L'État paie (abattement + crédit impôt)</v>
                </pt>
              </strCache>
            </strRef>
          </cat>
          <val>
            <numRef>
              <f>Synthèse!$F$17:$F$19</f>
              <numCache>
                <formatCode>#,##0.00" €"</formatCode>
                <ptCount val="3"/>
                <pt idx="0">
                  <v>1280.56431030704</v>
                </pt>
                <pt idx="1">
                  <v>1872.90756656909</v>
                </pt>
                <pt idx="2">
                  <v>980.333333333333</v>
                </pt>
              </numCache>
            </numRef>
          </val>
        </ser>
        <firstSliceAng val="0"/>
      </pieChart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image" Target="/xl/media/image1.png" Id="rId2"/></Relationships>
</file>

<file path=xl/drawings/drawing1.xml><?xml version="1.0" encoding="utf-8"?>
<wsDr xmlns="http://schemas.openxmlformats.org/drawingml/2006/spreadsheetDrawing">
  <twoCellAnchor editAs="oneCell">
    <from>
      <col>4</col>
      <colOff>0</colOff>
      <row>20</row>
      <rowOff>41400</rowOff>
    </from>
    <to>
      <col>6</col>
      <colOff>1529280</colOff>
      <row>42</row>
      <rowOff>168840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</col>
      <colOff>0</colOff>
      <row>0</row>
      <rowOff>0</rowOff>
    </from>
    <to>
      <col>1</col>
      <colOff>1141560</colOff>
      <row>1</row>
      <rowOff>189000</rowOff>
    </to>
    <pic>
      <nvPicPr>
        <cNvPr id="1" name="Image 2" descr="Picture"/>
        <cNvPicPr/>
      </nvPicPr>
      <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141120" y="0"/>
          <a:ext cx="1141560" cy="3794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filterMode="0">
    <tabColor rgb="FF1A2F2A"/>
    <outlinePr summaryBelow="1" summaryRight="1"/>
    <pageSetUpPr fitToPage="0"/>
  </sheetPr>
  <dimension ref="A1:G5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42" min="1" max="1"/>
    <col width="42" customWidth="1" style="42" min="2" max="2"/>
    <col width="18" customWidth="1" style="42" min="3" max="3"/>
    <col width="4" customWidth="1" style="42" min="4" max="4"/>
    <col width="42" customWidth="1" style="42" min="5" max="5"/>
    <col width="18" customWidth="1" style="42" min="6" max="6"/>
    <col width="40" customWidth="1" style="42" min="7" max="7"/>
  </cols>
  <sheetData>
    <row r="1" ht="15" customHeight="1" s="43">
      <c r="A1" s="44" t="n"/>
      <c r="B1" s="44" t="n"/>
      <c r="C1" s="44" t="n"/>
      <c r="D1" s="44" t="n"/>
      <c r="E1" s="44" t="n"/>
      <c r="F1" s="44" t="n"/>
      <c r="G1" s="44" t="n"/>
    </row>
    <row r="2" ht="15" customHeight="1" s="43">
      <c r="A2" s="44" t="n"/>
      <c r="B2" s="44" t="n"/>
      <c r="C2" s="44" t="n"/>
      <c r="D2" s="44" t="n"/>
      <c r="E2" s="44" t="n"/>
      <c r="F2" s="44" t="n"/>
      <c r="G2" s="44" t="n"/>
    </row>
    <row r="3" ht="15" customHeight="1" s="43">
      <c r="A3" s="44" t="n"/>
      <c r="B3" s="45" t="inlineStr">
        <is>
          <t>www.gethora.com</t>
        </is>
      </c>
      <c r="C3" s="45" t="inlineStr">
        <is>
          <t>hello@gethora.com</t>
        </is>
      </c>
      <c r="D3" s="44" t="n"/>
      <c r="E3" s="44" t="n"/>
      <c r="F3" s="44" t="n"/>
      <c r="G3" s="44" t="n"/>
    </row>
    <row r="4" ht="15" customHeight="1" s="43">
      <c r="A4" s="44" t="n"/>
      <c r="B4" s="44" t="n"/>
      <c r="C4" s="44" t="n"/>
      <c r="D4" s="44" t="n"/>
      <c r="E4" s="44" t="n"/>
      <c r="F4" s="44" t="n"/>
      <c r="G4" s="44" t="n"/>
    </row>
    <row r="5" ht="21.75" customHeight="1" s="43">
      <c r="A5" s="44" t="n"/>
      <c r="B5" s="46" t="inlineStr">
        <is>
          <t>SIMULATEUR COÛT GARDE À DOMICILE</t>
        </is>
      </c>
      <c r="C5" s="44" t="n"/>
      <c r="D5" s="44" t="n"/>
      <c r="E5" s="44" t="n"/>
      <c r="F5" s="44" t="n"/>
      <c r="G5" s="44" t="n"/>
    </row>
    <row r="6" ht="15" customHeight="1" s="43">
      <c r="A6" s="44" t="n"/>
      <c r="B6" s="47" t="inlineStr">
        <is>
          <t>Post-réforme CMG sept. 2025 — Données mars 2026</t>
        </is>
      </c>
      <c r="C6" s="44" t="n"/>
      <c r="D6" s="44" t="n"/>
      <c r="E6" s="44" t="n"/>
      <c r="F6" s="44" t="n"/>
      <c r="G6" s="44" t="n"/>
    </row>
    <row r="7" ht="15" customHeight="1" s="43">
      <c r="A7" s="44" t="n"/>
      <c r="B7" s="44" t="n"/>
      <c r="C7" s="44" t="n"/>
      <c r="D7" s="44" t="n"/>
      <c r="E7" s="44" t="n"/>
      <c r="F7" s="44" t="n"/>
      <c r="G7" s="44" t="n"/>
    </row>
    <row r="8" ht="15" customHeight="1" s="43">
      <c r="A8" s="44" t="n"/>
      <c r="B8" s="48" t="inlineStr">
        <is>
          <t>VOS PARAMÈTRES</t>
        </is>
      </c>
      <c r="C8" s="49" t="n"/>
      <c r="D8" s="44" t="n"/>
      <c r="E8" s="48" t="inlineStr">
        <is>
          <t>RÉSULTATS MENSUELS (votre part)</t>
        </is>
      </c>
      <c r="F8" s="49" t="n"/>
      <c r="G8" s="44" t="n"/>
    </row>
    <row r="9" ht="15" customHeight="1" s="43">
      <c r="A9" s="44" t="n"/>
      <c r="B9" s="50" t="inlineStr">
        <is>
          <t>Salaire net horaire souhaité (€)</t>
        </is>
      </c>
      <c r="C9" s="51" t="n">
        <v>11</v>
      </c>
      <c r="D9" s="44" t="n"/>
      <c r="E9" s="52" t="inlineStr">
        <is>
          <t>Sortie de cash mensuelle</t>
        </is>
      </c>
      <c r="F9" s="53">
        <f>Calculs!C55</f>
        <v/>
      </c>
      <c r="G9" s="44" t="n"/>
    </row>
    <row r="10" ht="15" customHeight="1" s="43">
      <c r="A10" s="44" t="n"/>
      <c r="B10" s="50" t="inlineStr">
        <is>
          <t>Type de garde</t>
        </is>
      </c>
      <c r="C10" s="54" t="inlineStr">
        <is>
          <t>Simple</t>
        </is>
      </c>
      <c r="D10" s="44" t="n"/>
      <c r="E10" s="52" t="inlineStr">
        <is>
          <t>Crédit d'impôt mensuel équivalent</t>
        </is>
      </c>
      <c r="F10" s="55">
        <f>Calculs!C62</f>
        <v/>
      </c>
      <c r="G10" s="44" t="n"/>
    </row>
    <row r="11" ht="15" customHeight="1" s="43">
      <c r="A11" s="44" t="n"/>
      <c r="B11" s="50" t="inlineStr">
        <is>
          <t>Heures de garde par semaine</t>
        </is>
      </c>
      <c r="C11" s="56" t="n">
        <v>45</v>
      </c>
      <c r="D11" s="44" t="n"/>
      <c r="E11" s="44" t="n"/>
      <c r="F11" s="44" t="n"/>
      <c r="G11" s="44" t="n"/>
    </row>
    <row r="12" ht="19.5" customHeight="1" s="43">
      <c r="A12" s="44" t="n"/>
      <c r="B12" s="50" t="inlineStr">
        <is>
          <t>Semaines de congés payés / an</t>
        </is>
      </c>
      <c r="C12" s="57" t="n">
        <v>5</v>
      </c>
      <c r="D12" s="44" t="n"/>
      <c r="E12" s="52" t="inlineStr">
        <is>
          <t>COÛT RÉEL FINAL / MOIS</t>
        </is>
      </c>
      <c r="F12" s="58">
        <f>Calculs!C65</f>
        <v/>
      </c>
      <c r="G12" s="44" t="n"/>
    </row>
    <row r="13" ht="15" customHeight="1" s="43">
      <c r="A13" s="44" t="n"/>
      <c r="B13" s="50" t="inlineStr">
        <is>
          <t>Semaines de congés sans solde / an</t>
        </is>
      </c>
      <c r="C13" s="57" t="n">
        <v>0</v>
      </c>
      <c r="D13" s="44" t="n"/>
      <c r="E13" s="50" t="inlineStr">
        <is>
          <t>Coût horaire réel</t>
        </is>
      </c>
      <c r="F13" s="59">
        <f>Calculs!C67</f>
        <v/>
      </c>
      <c r="G13" s="44" t="n"/>
    </row>
    <row r="14" ht="15" customHeight="1" s="43">
      <c r="A14" s="44" t="n"/>
      <c r="B14" s="50" t="inlineStr">
        <is>
          <t>Titre professionnel / CQP</t>
        </is>
      </c>
      <c r="C14" s="60" t="inlineStr">
        <is>
          <t>Non</t>
        </is>
      </c>
      <c r="D14" s="44" t="n"/>
      <c r="E14" s="50" t="inlineStr">
        <is>
          <t>Coût annuel réel</t>
        </is>
      </c>
      <c r="F14" s="59">
        <f>Calculs!C68</f>
        <v/>
      </c>
      <c r="G14" s="44" t="n"/>
    </row>
    <row r="15" ht="15" customHeight="1" s="43">
      <c r="A15" s="44" t="n"/>
      <c r="B15" s="50" t="inlineStr">
        <is>
          <t>Alsace-Moselle</t>
        </is>
      </c>
      <c r="C15" s="60" t="inlineStr">
        <is>
          <t>Non</t>
        </is>
      </c>
      <c r="D15" s="44" t="n"/>
      <c r="E15" s="44" t="n"/>
      <c r="F15" s="44" t="n"/>
      <c r="G15" s="44" t="n"/>
    </row>
    <row r="16" ht="15" customHeight="1" s="43">
      <c r="A16" s="44" t="n"/>
      <c r="B16" s="50" t="n"/>
      <c r="C16" s="61" t="n"/>
      <c r="D16" s="44" t="n"/>
      <c r="E16" s="62" t="n"/>
      <c r="F16" s="49" t="n"/>
      <c r="G16" s="44" t="n"/>
    </row>
    <row r="17" ht="15" customHeight="1" s="43">
      <c r="A17" s="44" t="n"/>
      <c r="B17" s="48" t="inlineStr">
        <is>
          <t>PARAMÈTRES CMG &amp; FISCAUX</t>
        </is>
      </c>
      <c r="C17" s="49" t="n"/>
      <c r="D17" s="44" t="n"/>
      <c r="E17" s="50" t="inlineStr">
        <is>
          <t>Vous payez (après CI)</t>
        </is>
      </c>
      <c r="F17" s="59">
        <f>Calculs!C65</f>
        <v/>
      </c>
      <c r="G17" s="44" t="n"/>
    </row>
    <row r="18" ht="15" customHeight="1" s="43">
      <c r="A18" s="44" t="n"/>
      <c r="B18" s="62" t="n"/>
      <c r="C18" s="44" t="n"/>
      <c r="D18" s="44" t="n"/>
      <c r="E18" s="50" t="inlineStr">
        <is>
          <t>La CAF paie (CMG rém + CMG cot)</t>
        </is>
      </c>
      <c r="F18" s="59">
        <f>Calculs!C38+Calculs!C47</f>
        <v/>
      </c>
      <c r="G18" s="44" t="n"/>
    </row>
    <row r="19" ht="15" customHeight="1" s="43">
      <c r="A19" s="44" t="n"/>
      <c r="B19" s="50" t="inlineStr">
        <is>
          <t>Revenu net catégoriel mensuel (€)</t>
        </is>
      </c>
      <c r="C19" s="63" t="n">
        <v>5000</v>
      </c>
      <c r="D19" s="44" t="n"/>
      <c r="E19" s="50" t="inlineStr">
        <is>
          <t>L'État paie (abattement + crédit impôt)</t>
        </is>
      </c>
      <c r="F19" s="59">
        <f>Calculs!C42/Calculs!C34+Calculs!C62</f>
        <v/>
      </c>
      <c r="G19" s="44" t="n"/>
    </row>
    <row r="20" ht="15" customHeight="1" s="43">
      <c r="A20" s="44" t="n"/>
      <c r="B20" s="50" t="inlineStr">
        <is>
          <t>Nombre d'enfants à charge</t>
        </is>
      </c>
      <c r="C20" s="57" t="n">
        <v>2</v>
      </c>
      <c r="D20" s="44" t="n"/>
      <c r="E20" s="44" t="n"/>
      <c r="F20" s="44" t="n"/>
      <c r="G20" s="44" t="n"/>
    </row>
    <row r="21" ht="15" customHeight="1" s="43">
      <c r="A21" s="44" t="n"/>
      <c r="B21" s="50" t="inlineStr">
        <is>
          <t>Enfant bénéficiaire AEEH</t>
        </is>
      </c>
      <c r="C21" s="54" t="inlineStr">
        <is>
          <t>Non</t>
        </is>
      </c>
      <c r="D21" s="44" t="n"/>
      <c r="E21" s="64" t="inlineStr">
        <is>
          <t>Le CMG rémunération est calculé selon la nouvelle formule</t>
        </is>
      </c>
      <c r="F21" s="44" t="n"/>
      <c r="G21" s="44" t="n"/>
    </row>
    <row r="22" ht="15" customHeight="1" s="43">
      <c r="A22" s="44" t="n"/>
      <c r="B22" s="50" t="inlineStr">
        <is>
          <t>Famille monoparentale</t>
        </is>
      </c>
      <c r="C22" s="54" t="inlineStr">
        <is>
          <t>Non</t>
        </is>
      </c>
      <c r="D22" s="44" t="n"/>
      <c r="E22" s="64" t="inlineStr">
        <is>
          <t>de sept. 2025 (proportionnel au revenu et au coût de garde).</t>
        </is>
      </c>
      <c r="F22" s="44" t="n"/>
      <c r="G22" s="44" t="n"/>
    </row>
    <row r="23" ht="15" customHeight="1" s="43">
      <c r="A23" s="44" t="n"/>
      <c r="B23" s="50" t="inlineStr">
        <is>
          <t>1ère année emploi salarié à domicile</t>
        </is>
      </c>
      <c r="C23" s="54" t="inlineStr">
        <is>
          <t>Non</t>
        </is>
      </c>
      <c r="D23" s="44" t="n"/>
      <c r="E23" s="64" t="inlineStr">
        <is>
          <t>Crédit d'impôt = régime emploi salarié à domicile (12 000€/foyer).</t>
        </is>
      </c>
      <c r="F23" s="44" t="n"/>
      <c r="G23" s="44" t="n"/>
    </row>
    <row r="24" ht="15" customHeight="1" s="43">
      <c r="A24" s="44" t="n"/>
      <c r="B24" s="44" t="n"/>
      <c r="C24" s="44" t="n"/>
      <c r="D24" s="44" t="n"/>
      <c r="E24" s="64" t="inlineStr">
        <is>
          <t>Voir onglets Calculs, Cotisations, Barèmes et Règles pour le détail.</t>
        </is>
      </c>
      <c r="F24" s="44" t="n"/>
      <c r="G24" s="44" t="n"/>
    </row>
    <row r="25" ht="15" customHeight="1" s="43">
      <c r="A25" s="44" t="n"/>
      <c r="B25" s="44" t="n"/>
      <c r="C25" s="44" t="n"/>
      <c r="D25" s="44" t="n"/>
      <c r="E25" s="44" t="n"/>
      <c r="F25" s="44" t="n"/>
      <c r="G25" s="44" t="n"/>
    </row>
    <row r="26" ht="15" customHeight="1" s="43">
      <c r="A26" s="44" t="n"/>
      <c r="B26" s="44" t="n"/>
      <c r="C26" s="44" t="n"/>
      <c r="D26" s="44" t="n"/>
      <c r="E26" s="44" t="n"/>
      <c r="F26" s="44" t="n"/>
      <c r="G26" s="44" t="n"/>
    </row>
    <row r="27" ht="15" customHeight="1" s="43">
      <c r="A27" s="44" t="n"/>
      <c r="B27" s="44" t="n"/>
      <c r="C27" s="44" t="n"/>
      <c r="D27" s="44" t="n"/>
      <c r="E27" s="44" t="n"/>
      <c r="F27" s="44" t="n"/>
      <c r="G27" s="44" t="n"/>
    </row>
    <row r="28" ht="15" customHeight="1" s="43">
      <c r="A28" s="44" t="n"/>
      <c r="B28" s="44" t="n"/>
      <c r="C28" s="44" t="n"/>
      <c r="D28" s="44" t="n"/>
      <c r="E28" s="44" t="n"/>
      <c r="F28" s="44" t="n"/>
      <c r="G28" s="44" t="n"/>
    </row>
    <row r="29" ht="15" customHeight="1" s="43">
      <c r="A29" s="44" t="n"/>
      <c r="B29" s="44" t="n"/>
      <c r="C29" s="44" t="n"/>
      <c r="D29" s="44" t="n"/>
      <c r="E29" s="44" t="n"/>
      <c r="F29" s="44" t="n"/>
      <c r="G29" s="44" t="n"/>
    </row>
    <row r="30" ht="15" customHeight="1" s="43">
      <c r="A30" s="44" t="n"/>
      <c r="B30" s="44" t="n"/>
      <c r="C30" s="44" t="n"/>
      <c r="D30" s="44" t="n"/>
      <c r="E30" s="44" t="n"/>
      <c r="F30" s="44" t="n"/>
      <c r="G30" s="44" t="n"/>
    </row>
    <row r="31" ht="15" customHeight="1" s="43">
      <c r="A31" s="44" t="n"/>
      <c r="B31" s="44" t="n"/>
      <c r="C31" s="44" t="n"/>
      <c r="D31" s="44" t="n"/>
      <c r="E31" s="44" t="n"/>
      <c r="F31" s="44" t="n"/>
      <c r="G31" s="44" t="n"/>
    </row>
    <row r="32" ht="15" customHeight="1" s="43">
      <c r="A32" s="44" t="n"/>
      <c r="B32" s="44" t="n"/>
      <c r="C32" s="44" t="n"/>
      <c r="D32" s="44" t="n"/>
      <c r="E32" s="44" t="n"/>
      <c r="F32" s="44" t="n"/>
      <c r="G32" s="44" t="n"/>
    </row>
    <row r="33" ht="15" customHeight="1" s="43">
      <c r="A33" s="44" t="n"/>
      <c r="B33" s="44" t="n"/>
      <c r="C33" s="44" t="n"/>
      <c r="D33" s="44" t="n"/>
      <c r="E33" s="44" t="n"/>
      <c r="F33" s="44" t="n"/>
      <c r="G33" s="44" t="n"/>
    </row>
    <row r="34" ht="15" customHeight="1" s="43">
      <c r="A34" s="44" t="n"/>
      <c r="B34" s="44" t="n"/>
      <c r="C34" s="44" t="n"/>
      <c r="D34" s="44" t="n"/>
      <c r="E34" s="44" t="n"/>
      <c r="F34" s="44" t="n"/>
      <c r="G34" s="44" t="n"/>
    </row>
    <row r="35" ht="15" customHeight="1" s="43">
      <c r="A35" s="44" t="n"/>
      <c r="B35" s="44" t="n"/>
      <c r="C35" s="44" t="n"/>
      <c r="D35" s="44" t="n"/>
      <c r="E35" s="44" t="n"/>
      <c r="F35" s="44" t="n"/>
      <c r="G35" s="44" t="n"/>
    </row>
    <row r="36" ht="15" customHeight="1" s="43">
      <c r="A36" s="44" t="n"/>
      <c r="B36" s="44" t="n"/>
      <c r="C36" s="44" t="n"/>
      <c r="D36" s="44" t="n"/>
      <c r="E36" s="44" t="n"/>
      <c r="F36" s="44" t="n"/>
      <c r="G36" s="44" t="n"/>
    </row>
    <row r="37" ht="15" customHeight="1" s="43">
      <c r="A37" s="44" t="n"/>
      <c r="B37" s="44" t="n"/>
      <c r="C37" s="44" t="n"/>
      <c r="D37" s="44" t="n"/>
      <c r="E37" s="44" t="n"/>
      <c r="F37" s="44" t="n"/>
      <c r="G37" s="44" t="n"/>
    </row>
    <row r="38" ht="15" customHeight="1" s="43">
      <c r="A38" s="44" t="n"/>
      <c r="B38" s="44" t="n"/>
      <c r="C38" s="44" t="n"/>
      <c r="D38" s="44" t="n"/>
      <c r="E38" s="44" t="n"/>
      <c r="F38" s="44" t="n"/>
      <c r="G38" s="44" t="n"/>
    </row>
    <row r="39" ht="15" customHeight="1" s="43">
      <c r="A39" s="44" t="n"/>
      <c r="B39" s="44" t="n"/>
      <c r="C39" s="44" t="n"/>
      <c r="D39" s="44" t="n"/>
      <c r="E39" s="44" t="n"/>
      <c r="F39" s="44" t="n"/>
      <c r="G39" s="44" t="n"/>
    </row>
    <row r="40" ht="15" customHeight="1" s="43">
      <c r="A40" s="44" t="n"/>
      <c r="B40" s="44" t="n"/>
      <c r="C40" s="44" t="n"/>
      <c r="D40" s="44" t="n"/>
      <c r="E40" s="44" t="n"/>
      <c r="F40" s="44" t="n"/>
      <c r="G40" s="44" t="n"/>
    </row>
    <row r="41" ht="15" customHeight="1" s="43">
      <c r="A41" s="44" t="n"/>
      <c r="B41" s="44" t="n"/>
      <c r="C41" s="44" t="n"/>
      <c r="D41" s="44" t="n"/>
      <c r="E41" s="44" t="n"/>
      <c r="F41" s="44" t="n"/>
      <c r="G41" s="44" t="n"/>
    </row>
    <row r="42" ht="15" customHeight="1" s="43">
      <c r="A42" s="44" t="n"/>
      <c r="B42" s="44" t="n"/>
      <c r="C42" s="44" t="n"/>
      <c r="D42" s="44" t="n"/>
      <c r="E42" s="44" t="n"/>
      <c r="F42" s="44" t="n"/>
      <c r="G42" s="44" t="n"/>
    </row>
    <row r="43" ht="15" customHeight="1" s="43">
      <c r="A43" s="44" t="n"/>
      <c r="B43" s="44" t="n"/>
      <c r="C43" s="44" t="n"/>
      <c r="D43" s="44" t="n"/>
      <c r="E43" s="44" t="n"/>
      <c r="F43" s="44" t="n"/>
      <c r="G43" s="44" t="n"/>
    </row>
    <row r="44" ht="15" customHeight="1" s="43">
      <c r="A44" s="44" t="n"/>
      <c r="B44" s="44" t="n"/>
      <c r="C44" s="44" t="n"/>
      <c r="D44" s="44" t="n"/>
      <c r="E44" s="44" t="n"/>
      <c r="F44" s="44" t="n"/>
      <c r="G44" s="44" t="n"/>
    </row>
    <row r="45" ht="15" customHeight="1" s="43">
      <c r="A45" s="44" t="n"/>
      <c r="B45" s="44" t="n"/>
      <c r="C45" s="44" t="n"/>
      <c r="D45" s="44" t="n"/>
      <c r="E45" s="44" t="n"/>
      <c r="F45" s="44" t="n"/>
      <c r="G45" s="44" t="n"/>
    </row>
    <row r="46" ht="15" customHeight="1" s="43">
      <c r="A46" s="44" t="n"/>
      <c r="B46" s="44" t="n"/>
      <c r="C46" s="44" t="n"/>
      <c r="D46" s="44" t="n"/>
      <c r="E46" s="44" t="n"/>
      <c r="F46" s="44" t="n"/>
      <c r="G46" s="44" t="n"/>
    </row>
    <row r="47" ht="15" customHeight="1" s="43">
      <c r="A47" s="44" t="n"/>
      <c r="B47" s="44" t="n"/>
      <c r="C47" s="44" t="n"/>
      <c r="D47" s="44" t="n"/>
      <c r="E47" s="44" t="n"/>
      <c r="F47" s="44" t="n"/>
      <c r="G47" s="44" t="n"/>
    </row>
    <row r="48" ht="15" customHeight="1" s="43">
      <c r="A48" s="44" t="n"/>
      <c r="B48" s="44" t="n"/>
      <c r="C48" s="44" t="n"/>
      <c r="D48" s="44" t="n"/>
      <c r="E48" s="44" t="n"/>
      <c r="F48" s="44" t="n"/>
      <c r="G48" s="44" t="n"/>
    </row>
    <row r="49" ht="15" customHeight="1" s="43">
      <c r="A49" s="44" t="n"/>
      <c r="B49" s="44" t="n"/>
      <c r="C49" s="44" t="n"/>
      <c r="D49" s="44" t="n"/>
      <c r="E49" s="44" t="n"/>
      <c r="F49" s="44" t="n"/>
      <c r="G49" s="44" t="n"/>
    </row>
    <row r="50" ht="15" customHeight="1" s="43">
      <c r="A50" s="44" t="n"/>
      <c r="B50" s="44" t="n"/>
      <c r="C50" s="44" t="n"/>
      <c r="D50" s="44" t="n"/>
      <c r="E50" s="44" t="n"/>
      <c r="F50" s="44" t="n"/>
      <c r="G50" s="44" t="n"/>
    </row>
    <row r="51" ht="15" customHeight="1" s="43">
      <c r="A51" s="44" t="n"/>
      <c r="B51" s="44" t="n"/>
      <c r="C51" s="44" t="n"/>
      <c r="D51" s="44" t="n"/>
      <c r="E51" s="44" t="n"/>
      <c r="F51" s="44" t="n"/>
      <c r="G51" s="44" t="n"/>
    </row>
    <row r="52" ht="15" customHeight="1" s="43">
      <c r="A52" s="44" t="n"/>
      <c r="B52" s="44" t="n"/>
      <c r="C52" s="44" t="n"/>
      <c r="D52" s="44" t="n"/>
      <c r="E52" s="44" t="n"/>
      <c r="F52" s="44" t="n"/>
      <c r="G52" s="44" t="n"/>
    </row>
    <row r="53" ht="15" customHeight="1" s="43">
      <c r="A53" s="44" t="n"/>
      <c r="B53" s="44" t="n"/>
      <c r="C53" s="44" t="n"/>
      <c r="D53" s="44" t="n"/>
      <c r="E53" s="44" t="n"/>
      <c r="F53" s="44" t="n"/>
      <c r="G53" s="44" t="n"/>
    </row>
    <row r="54" ht="15" customHeight="1" s="43">
      <c r="A54" s="44" t="n"/>
      <c r="B54" s="44" t="n"/>
      <c r="C54" s="44" t="n"/>
      <c r="D54" s="44" t="n"/>
      <c r="E54" s="44" t="n"/>
      <c r="F54" s="44" t="n"/>
      <c r="G54" s="44" t="n"/>
    </row>
  </sheetData>
  <dataValidations count="2">
    <dataValidation sqref="C10" showDropDown="0" showInputMessage="0" showErrorMessage="0" allowBlank="0" errorTitle="Valeur invalide" error="Choisir Simple ou Partagée" promptTitle="Type de garde" prompt="Sélectionner le type de garde" type="list">
      <formula1>"Simple,Partagée"</formula1>
    </dataValidation>
    <dataValidation sqref="C14 C15 C21 C22 C23" showDropDown="0" showInputMessage="0" showErrorMessage="0" allowBlank="0" error="Choisir Oui ou Non" type="list">
      <formula1>"Oui,Non"</formula1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tabColor rgb="FF88A096"/>
    <outlinePr summaryBelow="1" summaryRight="1"/>
    <pageSetUpPr fitToPage="0"/>
  </sheetPr>
  <dimension ref="B1:E6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42" min="1" max="1"/>
    <col width="48" customWidth="1" style="42" min="2" max="2"/>
    <col width="18" customWidth="1" style="42" min="3" max="4"/>
    <col width="58" customWidth="1" style="42" min="5" max="5"/>
  </cols>
  <sheetData>
    <row r="1" ht="21.75" customHeight="1" s="43">
      <c r="B1" s="65" t="inlineStr">
        <is>
          <t>DÉTAIL DES CALCULS</t>
        </is>
      </c>
      <c r="E1" s="66" t="inlineStr">
        <is>
          <t>Hora — www.gethora.com</t>
        </is>
      </c>
    </row>
    <row r="3" ht="15" customHeight="1" s="43">
      <c r="B3" s="48" t="inlineStr">
        <is>
          <t>HEURES ET SALAIRE</t>
        </is>
      </c>
      <c r="C3" s="49" t="n"/>
      <c r="D3" s="49" t="n"/>
      <c r="E3" s="49" t="n"/>
    </row>
    <row r="4" ht="15" customHeight="1" s="43">
      <c r="B4" s="67" t="inlineStr">
        <is>
          <t>Décomposition des heures</t>
        </is>
      </c>
    </row>
    <row r="5" ht="15" customHeight="1" s="43">
      <c r="B5" s="68" t="inlineStr">
        <is>
          <t>Heures normales (≤40h)</t>
        </is>
      </c>
      <c r="C5" s="69">
        <f>MIN(Synthèse!C11,40)</f>
        <v/>
      </c>
    </row>
    <row r="6" ht="15" customHeight="1" s="43">
      <c r="B6" s="68" t="inlineStr">
        <is>
          <t>Heures supp +25% (40h-48h)</t>
        </is>
      </c>
      <c r="C6" s="69">
        <f>MAX(0,MIN(Synthèse!C11,48)-40)</f>
        <v/>
      </c>
    </row>
    <row r="7" ht="15" customHeight="1" s="43">
      <c r="B7" s="68" t="inlineStr">
        <is>
          <t>Heures supp +50% (&gt;48h)</t>
        </is>
      </c>
      <c r="C7" s="69">
        <f>MAX(0,MIN(Synthèse!C11,50)-48)</f>
        <v/>
      </c>
    </row>
    <row r="8" ht="15" customHeight="1" s="43">
      <c r="B8" s="68" t="inlineStr">
        <is>
          <t>Semaines rémunérées / an</t>
        </is>
      </c>
      <c r="C8" s="69">
        <f>52-Synthèse!C13</f>
        <v/>
      </c>
    </row>
    <row r="9" ht="15" customHeight="1" s="43">
      <c r="B9" s="68" t="inlineStr">
        <is>
          <t>Heures mensuelles moyennes</t>
        </is>
      </c>
      <c r="C9" s="69">
        <f>Synthèse!C11*C8/12</f>
        <v/>
      </c>
    </row>
    <row r="11" ht="15" customHeight="1" s="43">
      <c r="B11" s="67" t="inlineStr">
        <is>
          <t>Conversion Net → Brut</t>
        </is>
      </c>
    </row>
    <row r="12" ht="15" customHeight="1" s="43">
      <c r="B12" s="68" t="inlineStr">
        <is>
          <t>Taux charges salariales (mainland)</t>
        </is>
      </c>
      <c r="C12" s="70">
        <f>Cotisations!E20</f>
        <v/>
      </c>
    </row>
    <row r="13" ht="15" customHeight="1" s="43">
      <c r="B13" s="68" t="inlineStr">
        <is>
          <t>Majoration Alsace-Moselle</t>
        </is>
      </c>
      <c r="C13" s="70">
        <f>IF(Synthèse!C16="Oui",1.3%,0%)</f>
        <v/>
      </c>
    </row>
    <row r="14" ht="15" customHeight="1" s="43">
      <c r="B14" s="68" t="inlineStr">
        <is>
          <t>Taux charges salariales effectif</t>
        </is>
      </c>
      <c r="C14" s="70">
        <f>C12+C13</f>
        <v/>
      </c>
    </row>
    <row r="15" ht="15" customHeight="1" s="43">
      <c r="B15" s="68" t="inlineStr">
        <is>
          <t>Brut horaire calculé</t>
        </is>
      </c>
      <c r="C15" s="71">
        <f>Synthèse!C9/(1-C14)</f>
        <v/>
      </c>
    </row>
    <row r="16" ht="15" customHeight="1" s="43">
      <c r="B16" s="68" t="inlineStr">
        <is>
          <t>SMIC horaire brut (plancher)</t>
        </is>
      </c>
      <c r="C16" s="51" t="n">
        <v>12.02</v>
      </c>
    </row>
    <row r="17" ht="15" customHeight="1" s="43">
      <c r="B17" s="68" t="inlineStr">
        <is>
          <t>Brut horaire retenu</t>
        </is>
      </c>
      <c r="C17" s="71">
        <f>MAX(C15,C16)</f>
        <v/>
      </c>
    </row>
    <row r="18" ht="15" customHeight="1" s="43">
      <c r="B18" s="68" t="inlineStr">
        <is>
          <t>Majoration titre pro (+4%)</t>
        </is>
      </c>
      <c r="C18" s="71">
        <f>IF(Synthèse!C15="Oui",C17*4%,0)</f>
        <v/>
      </c>
    </row>
    <row r="19" ht="15" customHeight="1" s="43">
      <c r="B19" s="68" t="inlineStr">
        <is>
          <t>Brut horaire final</t>
        </is>
      </c>
      <c r="C19" s="72">
        <f>C17+C18</f>
        <v/>
      </c>
    </row>
    <row r="21" ht="15" customHeight="1" s="43">
      <c r="B21" s="67" t="inlineStr">
        <is>
          <t>Salaire mensuel</t>
        </is>
      </c>
    </row>
    <row r="22" ht="15" customHeight="1" s="43">
      <c r="B22" s="68" t="inlineStr">
        <is>
          <t>Brut hebdomadaire</t>
        </is>
      </c>
      <c r="C22" s="71">
        <f>C5*C19+C6*C19*1.25+C7*C19*1.5</f>
        <v/>
      </c>
    </row>
    <row r="23" ht="15" customHeight="1" s="43">
      <c r="B23" s="68" t="inlineStr">
        <is>
          <t>Brut mensuel (annualisé)</t>
        </is>
      </c>
      <c r="C23" s="71">
        <f>C22*C8/12</f>
        <v/>
      </c>
    </row>
    <row r="24" ht="15" customHeight="1" s="43">
      <c r="B24" s="68" t="inlineStr">
        <is>
          <t>Charges salariales (CS)</t>
        </is>
      </c>
      <c r="C24" s="71">
        <f>C14*C23</f>
        <v/>
      </c>
    </row>
    <row r="25" ht="15" customHeight="1" s="43">
      <c r="B25" s="68" t="inlineStr">
        <is>
          <t>Salaire net mensuel (SNM)</t>
        </is>
      </c>
      <c r="C25" s="72">
        <f>C23-C24</f>
        <v/>
      </c>
    </row>
    <row r="26" ht="15" customHeight="1" s="43">
      <c r="B26" s="68" t="inlineStr">
        <is>
          <t>Net horaire effectif</t>
        </is>
      </c>
      <c r="C26" s="71">
        <f>IF(C9=0,0,C25/C9)</f>
        <v/>
      </c>
    </row>
    <row r="28" ht="15" customHeight="1" s="43">
      <c r="B28" s="48" t="inlineStr">
        <is>
          <t>CHARGES PATRONALES</t>
        </is>
      </c>
      <c r="C28" s="49" t="n"/>
      <c r="D28" s="49" t="n"/>
      <c r="E28" s="49" t="n"/>
    </row>
    <row r="29" ht="15" customHeight="1" s="43">
      <c r="B29" s="68" t="inlineStr">
        <is>
          <t>Taux charges patronales</t>
        </is>
      </c>
      <c r="C29" s="70">
        <f>Cotisations!F20</f>
        <v/>
      </c>
    </row>
    <row r="30" ht="15" customHeight="1" s="43">
      <c r="B30" s="68" t="inlineStr">
        <is>
          <t>Charges patronales (hors CST)</t>
        </is>
      </c>
      <c r="C30" s="71">
        <f>C29*C23</f>
        <v/>
      </c>
    </row>
    <row r="31" ht="15" customHeight="1" s="43">
      <c r="B31" s="68" t="inlineStr">
        <is>
          <t>CST (forfait max 5€)</t>
        </is>
      </c>
      <c r="C31" s="51" t="n">
        <v>5</v>
      </c>
    </row>
    <row r="32" ht="15" customHeight="1" s="43">
      <c r="B32" s="68" t="inlineStr">
        <is>
          <t>Charges patronales totales (CP)</t>
        </is>
      </c>
      <c r="C32" s="72">
        <f>C30+C31</f>
        <v/>
      </c>
    </row>
    <row r="33" ht="15" customHeight="1" s="43">
      <c r="B33" s="68" t="inlineStr">
        <is>
          <t>Transport employeur</t>
        </is>
      </c>
      <c r="C33" s="71">
        <f>IF(Synthèse!C10="Partagée",D33,D33*50%)</f>
        <v/>
      </c>
      <c r="D33" s="51" t="n">
        <v>90.8</v>
      </c>
      <c r="E33" s="73" t="inlineStr">
        <is>
          <t>Navigo mensuel 2026 : 90,80€. 50% garde simple, 100% partagée</t>
        </is>
      </c>
    </row>
    <row r="34" ht="15" customHeight="1" s="43">
      <c r="B34" s="68" t="inlineStr">
        <is>
          <t>Diviseur garde partagée</t>
        </is>
      </c>
      <c r="C34" s="74">
        <f>IF(Synthèse!C10="Partagée",2,1)</f>
        <v/>
      </c>
    </row>
    <row r="36" ht="15" customHeight="1" s="43">
      <c r="B36" s="48" t="inlineStr">
        <is>
          <t>CMG RÉMUNÉRATION (réforme sept. 2025)</t>
        </is>
      </c>
      <c r="C36" s="49" t="n"/>
      <c r="D36" s="49" t="n"/>
      <c r="E36" s="49" t="n"/>
    </row>
    <row r="37" ht="15" customHeight="1" s="43">
      <c r="B37" s="68" t="inlineStr">
        <is>
          <t>CMG Rémunération mensuel</t>
        </is>
      </c>
      <c r="C37" s="72">
        <f>MAX(0,C25*(1-MAX(814,MIN(8500,Synthèse!C19))*VLOOKUP(Synthèse!C20+IF(Synthèse!C21="Oui",1,0),Barèmes!B3:D10,3,TRUE())/10.38))</f>
        <v/>
      </c>
      <c r="E37" s="73" t="inlineStr">
        <is>
          <t>CMG = min(15€/h, net_horaire) × H × (1 - R×TE/CHR)</t>
        </is>
      </c>
    </row>
    <row r="38" ht="15" customHeight="1" s="43">
      <c r="B38" s="68" t="inlineStr">
        <is>
          <t>CMG Rémunération (votre part)</t>
        </is>
      </c>
      <c r="C38" s="55">
        <f>C37/C34</f>
        <v/>
      </c>
    </row>
    <row r="40" ht="15" customHeight="1" s="43">
      <c r="B40" s="67" t="inlineStr">
        <is>
          <t>Abattement charges patronales</t>
        </is>
      </c>
    </row>
    <row r="41" ht="15" customHeight="1" s="43">
      <c r="B41" s="68" t="inlineStr">
        <is>
          <t>Heures éligibles</t>
        </is>
      </c>
      <c r="C41" s="69">
        <f>(MIN(Synthèse!C11,40)*90%+MAX(0,Synthèse!C11-40))*C8/12</f>
        <v/>
      </c>
    </row>
    <row r="42" ht="15" customHeight="1" s="43">
      <c r="B42" s="68" t="inlineStr">
        <is>
          <t>Abattement retenu (2€/h, plaf. 50% CP)</t>
        </is>
      </c>
      <c r="C42" s="55">
        <f>MIN(C41*2,50%*C32)</f>
        <v/>
      </c>
    </row>
    <row r="44" ht="15" customHeight="1" s="43">
      <c r="B44" s="67" t="inlineStr">
        <is>
          <t>CMG Cotisations (CAF)</t>
        </is>
      </c>
    </row>
    <row r="45" ht="15" customHeight="1" s="43">
      <c r="B45" s="68" t="inlineStr">
        <is>
          <t>Cotisations après abattement (CP+CS-abatt)</t>
        </is>
      </c>
      <c r="C45" s="71">
        <f>C32+C24-C42</f>
        <v/>
      </c>
    </row>
    <row r="46" ht="15" customHeight="1" s="43">
      <c r="B46" s="68" t="inlineStr">
        <is>
          <t>Plafond CMG cotisations (€/enfant)</t>
        </is>
      </c>
      <c r="C46" s="63" t="n">
        <v>520</v>
      </c>
    </row>
    <row r="47" ht="15" customHeight="1" s="43">
      <c r="B47" s="68" t="inlineStr">
        <is>
          <t>CMG Cotisations (votre part)</t>
        </is>
      </c>
      <c r="C47" s="55">
        <f>MIN(50%*C45,C46*Synthèse!C20)/C34</f>
        <v/>
      </c>
    </row>
    <row r="49" ht="15" customHeight="1" s="43">
      <c r="B49" s="48" t="inlineStr">
        <is>
          <t>RESTE À CHARGE</t>
        </is>
      </c>
      <c r="C49" s="49" t="n"/>
      <c r="D49" s="49" t="n"/>
      <c r="E49" s="49" t="n"/>
    </row>
    <row r="50" ht="15" customHeight="1" s="43">
      <c r="B50" s="68" t="inlineStr">
        <is>
          <t>DTB mensuelle</t>
        </is>
      </c>
      <c r="C50" s="71">
        <f>C23+C32+C33</f>
        <v/>
      </c>
    </row>
    <row r="51" ht="15" customHeight="1" s="43">
      <c r="B51" s="68" t="inlineStr">
        <is>
          <t>DTB (votre part)</t>
        </is>
      </c>
      <c r="C51" s="71">
        <f>C50/C34</f>
        <v/>
      </c>
    </row>
    <row r="52" ht="15" customHeight="1" s="43">
      <c r="B52" s="68" t="inlineStr">
        <is>
          <t>- CMG Rémunération</t>
        </is>
      </c>
      <c r="C52" s="71">
        <f>-C38</f>
        <v/>
      </c>
    </row>
    <row r="53" ht="15" customHeight="1" s="43">
      <c r="B53" s="68" t="inlineStr">
        <is>
          <t>- Abattement (votre part)</t>
        </is>
      </c>
      <c r="C53" s="71">
        <f>-C42/C34</f>
        <v/>
      </c>
    </row>
    <row r="54" ht="15" customHeight="1" s="43">
      <c r="B54" s="68" t="inlineStr">
        <is>
          <t>- CMG Cotisations</t>
        </is>
      </c>
      <c r="C54" s="71">
        <f>-C47</f>
        <v/>
      </c>
    </row>
    <row r="55" ht="15" customHeight="1" s="43">
      <c r="B55" s="75" t="inlineStr">
        <is>
          <t>SORTIE DE CASH MENSUELLE</t>
        </is>
      </c>
      <c r="C55" s="53">
        <f>C51-C38-C42/C34-C47</f>
        <v/>
      </c>
    </row>
    <row r="57" ht="15" customHeight="1" s="43">
      <c r="B57" s="48" t="inlineStr">
        <is>
          <t>CRÉDIT D'IMPÔT (emploi salarié à domicile)</t>
        </is>
      </c>
      <c r="C57" s="49" t="n"/>
      <c r="D57" s="49" t="n"/>
      <c r="E57" s="49" t="n"/>
    </row>
    <row r="58" ht="15" customHeight="1" s="43">
      <c r="B58" s="68" t="inlineStr">
        <is>
          <t>Dépenses annuelles éligibles</t>
        </is>
      </c>
      <c r="C58" s="71">
        <f>C55*12</f>
        <v/>
      </c>
    </row>
    <row r="59" ht="15" customHeight="1" s="43">
      <c r="B59" s="68" t="inlineStr">
        <is>
          <t>Plafond CI</t>
        </is>
      </c>
      <c r="C59" s="76">
        <f>MIN(IF(Synthèse!C23="Oui",18000,15000),IF(Synthèse!C23="Oui",15000,12000)+Synthèse!C20*1500)</f>
        <v/>
      </c>
    </row>
    <row r="60" ht="15" customHeight="1" s="43">
      <c r="B60" s="68" t="inlineStr">
        <is>
          <t>Base retenue</t>
        </is>
      </c>
      <c r="C60" s="71">
        <f>MIN(C58,C59)</f>
        <v/>
      </c>
    </row>
    <row r="61" ht="15" customHeight="1" s="43">
      <c r="B61" s="68" t="inlineStr">
        <is>
          <t>Crédit d'impôt annuel (50%)</t>
        </is>
      </c>
      <c r="C61" s="72">
        <f>50%*C60</f>
        <v/>
      </c>
    </row>
    <row r="62" ht="15" customHeight="1" s="43">
      <c r="B62" s="68" t="inlineStr">
        <is>
          <t>Crédit d'impôt mensuel</t>
        </is>
      </c>
      <c r="C62" s="55">
        <f>C61/12</f>
        <v/>
      </c>
    </row>
    <row r="64" ht="15" customHeight="1" s="43">
      <c r="B64" s="48" t="inlineStr">
        <is>
          <t>COÛT RÉEL FINAL</t>
        </is>
      </c>
      <c r="C64" s="49" t="n"/>
      <c r="D64" s="49" t="n"/>
      <c r="E64" s="49" t="n"/>
    </row>
    <row r="65" ht="19.5" customHeight="1" s="43">
      <c r="B65" s="68" t="inlineStr">
        <is>
          <t>Sortie de cash - CI mensuel</t>
        </is>
      </c>
      <c r="C65" s="58">
        <f>C55-C62</f>
        <v/>
      </c>
    </row>
    <row r="67" ht="15" customHeight="1" s="43">
      <c r="B67" s="68" t="inlineStr">
        <is>
          <t>Coût horaire réel</t>
        </is>
      </c>
      <c r="C67" s="71">
        <f>IF(C9=0,0,C65/(C9/C34))</f>
        <v/>
      </c>
    </row>
    <row r="68" ht="15" customHeight="1" s="43">
      <c r="B68" s="68" t="inlineStr">
        <is>
          <t>Coût annuel réel</t>
        </is>
      </c>
      <c r="C68" s="71">
        <f>C65*12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88A096"/>
    <outlinePr summaryBelow="1" summaryRight="1"/>
    <pageSetUpPr fitToPage="0"/>
  </sheetPr>
  <dimension ref="B1:G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42" min="1" max="1"/>
    <col width="5" customWidth="1" style="42" min="2" max="2"/>
    <col width="48" customWidth="1" style="42" min="3" max="3"/>
    <col width="15" customWidth="1" style="42" min="4" max="4"/>
    <col width="18" customWidth="1" style="42" min="5" max="6"/>
    <col width="42" customWidth="1" style="42" min="7" max="7"/>
  </cols>
  <sheetData>
    <row r="1" ht="21.75" customHeight="1" s="43">
      <c r="B1" s="65" t="inlineStr">
        <is>
          <t>COTISATIONS SOCIALES — 01/01/2026</t>
        </is>
      </c>
      <c r="F1" s="66" t="inlineStr">
        <is>
          <t>Hora — www.gethora.com</t>
        </is>
      </c>
    </row>
    <row r="3" ht="15" customHeight="1" s="43">
      <c r="B3" s="48" t="inlineStr">
        <is>
          <t>N°</t>
        </is>
      </c>
      <c r="C3" s="48" t="inlineStr">
        <is>
          <t>Cotisation</t>
        </is>
      </c>
      <c r="D3" s="48" t="inlineStr">
        <is>
          <t>Assiette</t>
        </is>
      </c>
      <c r="E3" s="48" t="inlineStr">
        <is>
          <t>Part sal.</t>
        </is>
      </c>
      <c r="F3" s="48" t="inlineStr">
        <is>
          <t>Part pat.</t>
        </is>
      </c>
      <c r="G3" s="48" t="inlineStr">
        <is>
          <t>Notes</t>
        </is>
      </c>
    </row>
    <row r="4" ht="15" customHeight="1" s="43">
      <c r="B4" s="77" t="n">
        <v>1</v>
      </c>
      <c r="C4" s="77" t="inlineStr">
        <is>
          <t>CSG (9,20% × 98,25%)</t>
        </is>
      </c>
      <c r="D4" s="64" t="inlineStr">
        <is>
          <t>98,25% brut</t>
        </is>
      </c>
      <c r="E4" s="78" t="n">
        <v>0.09039</v>
      </c>
      <c r="F4" s="44" t="n"/>
      <c r="G4" s="44" t="n"/>
    </row>
    <row r="5" ht="15" customHeight="1" s="43">
      <c r="B5" s="79" t="n">
        <v>2</v>
      </c>
      <c r="C5" s="79" t="inlineStr">
        <is>
          <t>CRDS (0,50% × 98,25%)</t>
        </is>
      </c>
      <c r="D5" s="73" t="inlineStr">
        <is>
          <t>98,25% brut</t>
        </is>
      </c>
      <c r="E5" s="70" t="n">
        <v>0.004913</v>
      </c>
    </row>
    <row r="6" ht="15" customHeight="1" s="43">
      <c r="B6" s="77" t="n">
        <v>3</v>
      </c>
      <c r="C6" s="77" t="inlineStr">
        <is>
          <t>Maladie, maternité, invalidité, décès</t>
        </is>
      </c>
      <c r="D6" s="64" t="inlineStr">
        <is>
          <t>Brut</t>
        </is>
      </c>
      <c r="E6" s="44" t="n"/>
      <c r="F6" s="78" t="n">
        <v>0.13</v>
      </c>
      <c r="G6" s="64" t="inlineStr">
        <is>
          <t>Sal.=0% mainland, 1,30% Alsace-Mos.</t>
        </is>
      </c>
    </row>
    <row r="7" ht="15" customHeight="1" s="43">
      <c r="B7" s="79" t="n">
        <v>4</v>
      </c>
      <c r="C7" s="79" t="inlineStr">
        <is>
          <t>Vieillesse plafonnée</t>
        </is>
      </c>
      <c r="D7" s="73" t="inlineStr">
        <is>
          <t>Brut plaf.</t>
        </is>
      </c>
      <c r="E7" s="70" t="n">
        <v>0.06900000000000001</v>
      </c>
      <c r="F7" s="70" t="n">
        <v>0.08550000000000001</v>
      </c>
      <c r="G7" s="73" t="inlineStr">
        <is>
          <t>Plaf. SS : 3 925€/mois</t>
        </is>
      </c>
    </row>
    <row r="8" ht="15" customHeight="1" s="43">
      <c r="B8" s="77" t="n">
        <v>5</v>
      </c>
      <c r="C8" s="77" t="inlineStr">
        <is>
          <t>Vieillesse déplafonnée</t>
        </is>
      </c>
      <c r="D8" s="64" t="inlineStr">
        <is>
          <t>Brut</t>
        </is>
      </c>
      <c r="E8" s="78" t="n">
        <v>0.004</v>
      </c>
      <c r="F8" s="78" t="n">
        <v>0.0211</v>
      </c>
      <c r="G8" s="44" t="n"/>
    </row>
    <row r="9" ht="15" customHeight="1" s="43">
      <c r="B9" s="79" t="n">
        <v>6</v>
      </c>
      <c r="C9" s="79" t="inlineStr">
        <is>
          <t>Allocations familiales</t>
        </is>
      </c>
      <c r="D9" s="73" t="inlineStr">
        <is>
          <t>Brut</t>
        </is>
      </c>
      <c r="F9" s="70" t="n">
        <v>0.0525</v>
      </c>
    </row>
    <row r="10" ht="15" customHeight="1" s="43">
      <c r="B10" s="77" t="n">
        <v>7</v>
      </c>
      <c r="C10" s="77" t="inlineStr">
        <is>
          <t>Accidents du travail</t>
        </is>
      </c>
      <c r="D10" s="64" t="inlineStr">
        <is>
          <t>Brut</t>
        </is>
      </c>
      <c r="E10" s="44" t="n"/>
      <c r="F10" s="78" t="n">
        <v>0.0206</v>
      </c>
      <c r="G10" s="44" t="n"/>
    </row>
    <row r="11" ht="15" customHeight="1" s="43">
      <c r="B11" s="79" t="n">
        <v>8</v>
      </c>
      <c r="C11" s="79" t="inlineStr">
        <is>
          <t>FNAL</t>
        </is>
      </c>
      <c r="D11" s="73" t="inlineStr">
        <is>
          <t>Brut</t>
        </is>
      </c>
      <c r="F11" s="70" t="n">
        <v>0.001</v>
      </c>
    </row>
    <row r="12" ht="15" customHeight="1" s="43">
      <c r="B12" s="77" t="n">
        <v>9</v>
      </c>
      <c r="C12" s="77" t="inlineStr">
        <is>
          <t>CSA</t>
        </is>
      </c>
      <c r="D12" s="64" t="inlineStr">
        <is>
          <t>Brut</t>
        </is>
      </c>
      <c r="E12" s="44" t="n"/>
      <c r="F12" s="78" t="n">
        <v>0.003</v>
      </c>
      <c r="G12" s="44" t="n"/>
    </row>
    <row r="13" ht="15" customHeight="1" s="43">
      <c r="B13" s="79" t="n">
        <v>10</v>
      </c>
      <c r="C13" s="79" t="inlineStr">
        <is>
          <t>IRCEM Retraite complémentaire T1</t>
        </is>
      </c>
      <c r="D13" s="73" t="inlineStr">
        <is>
          <t>Brut plaf.</t>
        </is>
      </c>
      <c r="E13" s="70" t="n">
        <v>0.0315</v>
      </c>
      <c r="F13" s="70" t="n">
        <v>0.0472</v>
      </c>
    </row>
    <row r="14" ht="15" customHeight="1" s="43">
      <c r="B14" s="77" t="n">
        <v>11</v>
      </c>
      <c r="C14" s="77" t="inlineStr">
        <is>
          <t>CEG T1</t>
        </is>
      </c>
      <c r="D14" s="64" t="inlineStr">
        <is>
          <t>Brut plaf.</t>
        </is>
      </c>
      <c r="E14" s="78" t="n">
        <v>0.0086</v>
      </c>
      <c r="F14" s="78" t="n">
        <v>0.0129</v>
      </c>
      <c r="G14" s="44" t="n"/>
    </row>
    <row r="15" ht="15" customHeight="1" s="43">
      <c r="B15" s="79" t="n">
        <v>12</v>
      </c>
      <c r="C15" s="79" t="inlineStr">
        <is>
          <t>IRCEM Prévoyance (+ Fived, IDR)</t>
        </is>
      </c>
      <c r="D15" s="73" t="inlineStr">
        <is>
          <t>Brut</t>
        </is>
      </c>
      <c r="E15" s="70" t="n">
        <v>0.0104</v>
      </c>
      <c r="F15" s="70" t="n">
        <v>0.0245</v>
      </c>
    </row>
    <row r="16" ht="15" customHeight="1" s="43">
      <c r="B16" s="77" t="n">
        <v>13</v>
      </c>
      <c r="C16" s="77" t="inlineStr">
        <is>
          <t>Assurance chômage</t>
        </is>
      </c>
      <c r="D16" s="64" t="inlineStr">
        <is>
          <t>Brut</t>
        </is>
      </c>
      <c r="E16" s="44" t="n"/>
      <c r="F16" s="78" t="n">
        <v>0.04</v>
      </c>
      <c r="G16" s="44" t="n"/>
    </row>
    <row r="17" ht="15" customHeight="1" s="43">
      <c r="B17" s="79" t="n">
        <v>14</v>
      </c>
      <c r="C17" s="79" t="inlineStr">
        <is>
          <t>Formation professionnelle</t>
        </is>
      </c>
      <c r="D17" s="73" t="inlineStr">
        <is>
          <t>Brut</t>
        </is>
      </c>
      <c r="F17" s="70" t="n">
        <v>0.008500000000000001</v>
      </c>
    </row>
    <row r="18" ht="15" customHeight="1" s="43">
      <c r="B18" s="77" t="n">
        <v>15</v>
      </c>
      <c r="C18" s="77" t="inlineStr">
        <is>
          <t>Dialogue social</t>
        </is>
      </c>
      <c r="D18" s="64" t="inlineStr">
        <is>
          <t>Brut</t>
        </is>
      </c>
      <c r="E18" s="44" t="n"/>
      <c r="F18" s="78" t="n">
        <v>0.00016</v>
      </c>
      <c r="G18" s="44" t="n"/>
    </row>
    <row r="20" ht="15" customHeight="1" s="43">
      <c r="C20" s="75" t="inlineStr">
        <is>
          <t>TOTAL</t>
        </is>
      </c>
      <c r="E20" s="80">
        <f>SUM(E4:E18)</f>
        <v/>
      </c>
      <c r="F20" s="80">
        <f>SUM(F4:F18)</f>
        <v/>
      </c>
      <c r="G20" s="73" t="inlineStr">
        <is>
          <t>Hors CST (5€ forfait séparé)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CFFFE5"/>
    <outlinePr summaryBelow="1" summaryRight="1"/>
    <pageSetUpPr fitToPage="0"/>
  </sheetPr>
  <dimension ref="B1:E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42" min="1" max="1"/>
    <col width="20" customWidth="1" style="42" min="2" max="2"/>
    <col width="22" customWidth="1" style="42" min="3" max="4"/>
    <col width="30" customWidth="1" style="42" min="5" max="5"/>
  </cols>
  <sheetData>
    <row r="1" ht="21.75" customHeight="1" s="43">
      <c r="B1" s="65" t="inlineStr">
        <is>
          <t>BARÈMES CMG — Sept. 2025</t>
        </is>
      </c>
    </row>
    <row r="3" ht="15" customHeight="1" s="43">
      <c r="B3" s="48" t="inlineStr">
        <is>
          <t>Nb enfants</t>
        </is>
      </c>
      <c r="C3" s="48" t="inlineStr">
        <is>
          <t>TE Ass. mat.</t>
        </is>
      </c>
      <c r="D3" s="48" t="inlineStr">
        <is>
          <t>TE Garde dom.</t>
        </is>
      </c>
      <c r="E3" s="48" t="inlineStr">
        <is>
          <t>Notes</t>
        </is>
      </c>
    </row>
    <row r="4" ht="15" customHeight="1" s="43">
      <c r="B4" s="77" t="n">
        <v>1</v>
      </c>
      <c r="C4" s="81" t="n">
        <v>0.000619</v>
      </c>
      <c r="D4" s="81" t="n">
        <v>0.001238</v>
      </c>
      <c r="E4" s="44" t="n"/>
    </row>
    <row r="5" ht="15" customHeight="1" s="43">
      <c r="B5" s="79" t="n">
        <v>2</v>
      </c>
      <c r="C5" s="82" t="n">
        <v>0.000516</v>
      </c>
      <c r="D5" s="82" t="n">
        <v>0.001032</v>
      </c>
    </row>
    <row r="6" ht="15" customHeight="1" s="43">
      <c r="B6" s="77" t="n">
        <v>3</v>
      </c>
      <c r="C6" s="81" t="n">
        <v>0.000413</v>
      </c>
      <c r="D6" s="81" t="n">
        <v>0.000826</v>
      </c>
      <c r="E6" s="44" t="n"/>
    </row>
    <row r="7" ht="15" customHeight="1" s="43">
      <c r="B7" s="79" t="n">
        <v>4</v>
      </c>
      <c r="C7" s="82" t="n">
        <v>0.00031</v>
      </c>
      <c r="D7" s="82" t="n">
        <v>0.00062</v>
      </c>
    </row>
    <row r="8" ht="15" customHeight="1" s="43">
      <c r="B8" s="77" t="n">
        <v>5</v>
      </c>
      <c r="C8" s="81" t="n">
        <v>0.00031</v>
      </c>
      <c r="D8" s="81" t="n">
        <v>0.00062</v>
      </c>
      <c r="E8" s="44" t="n"/>
    </row>
    <row r="9" ht="15" customHeight="1" s="43">
      <c r="B9" s="79" t="n">
        <v>6</v>
      </c>
      <c r="C9" s="82" t="n">
        <v>0.00031</v>
      </c>
      <c r="D9" s="82" t="n">
        <v>0.00062</v>
      </c>
    </row>
    <row r="10" ht="15" customHeight="1" s="43">
      <c r="B10" s="77" t="n">
        <v>7</v>
      </c>
      <c r="C10" s="81" t="n">
        <v>0.00031</v>
      </c>
      <c r="D10" s="81" t="n">
        <v>0.00062</v>
      </c>
      <c r="E10" s="44" t="n"/>
    </row>
    <row r="11" ht="15" customHeight="1" s="43">
      <c r="B11" s="79" t="n">
        <v>8</v>
      </c>
      <c r="C11" s="82" t="n">
        <v>0.000206</v>
      </c>
      <c r="D11" s="82" t="n">
        <v>0.000412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D4CDC3"/>
    <outlinePr summaryBelow="1" summaryRight="1"/>
    <pageSetUpPr fitToPage="0"/>
  </sheetPr>
  <dimension ref="B1:B2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90" customWidth="1" style="42" min="2" max="2"/>
  </cols>
  <sheetData>
    <row r="1" ht="21.75" customHeight="1" s="43">
      <c r="B1" s="65" t="inlineStr">
        <is>
          <t>RÈGLES, HYPOTHÈSES &amp; SOURCES</t>
        </is>
      </c>
    </row>
    <row r="3" ht="15" customHeight="1" s="43">
      <c r="B3" s="67" t="inlineStr">
        <is>
          <t>FORMULE CMG RÉMUNÉRATION</t>
        </is>
      </c>
    </row>
    <row r="4" ht="15" customHeight="1" s="43">
      <c r="B4" s="83" t="inlineStr">
        <is>
          <t xml:space="preserve">  CMG = CR × (1 - R × TE / CHR)</t>
        </is>
      </c>
    </row>
    <row r="5" ht="15" customHeight="1" s="43">
      <c r="B5" s="83" t="inlineStr">
        <is>
          <t xml:space="preserve">  CR = min(plafond_horaire=15€, net_horaire) × heures_mensuelles</t>
        </is>
      </c>
    </row>
    <row r="6" ht="15" customHeight="1" s="43">
      <c r="B6" s="83" t="inlineStr">
        <is>
          <t xml:space="preserve">  R = max(814, min(8500, revenu_N-2/12)). TE = voir barème. CHR = 10,38€ (GAD)</t>
        </is>
      </c>
    </row>
    <row r="8" ht="15" customHeight="1" s="43">
      <c r="B8" s="67" t="inlineStr">
        <is>
          <t>CMG COTISATIONS</t>
        </is>
      </c>
    </row>
    <row r="9" ht="15" customHeight="1" s="43">
      <c r="B9" s="83" t="inlineStr">
        <is>
          <t xml:space="preserve">  GAD : 50% des cotisations totales (sal+pat) après abattement, plafond 520€/enfant &lt;3 ans</t>
        </is>
      </c>
    </row>
    <row r="11" ht="15" customHeight="1" s="43">
      <c r="B11" s="67" t="inlineStr">
        <is>
          <t>ABATTEMENT 2€/H</t>
        </is>
      </c>
    </row>
    <row r="12" ht="15" customHeight="1" s="43">
      <c r="B12" s="83" t="inlineStr">
        <is>
          <t xml:space="preserve">  Sur 90% des heures ≤40h/sem + 100% &gt;40h. Plafonné 50% charges pat. Hors congés payés.</t>
        </is>
      </c>
    </row>
    <row r="14" ht="15" customHeight="1" s="43">
      <c r="B14" s="67" t="inlineStr">
        <is>
          <t>CRÉDIT D'IMPÔT</t>
        </is>
      </c>
    </row>
    <row r="15" ht="15" customHeight="1" s="43">
      <c r="B15" s="83" t="inlineStr">
        <is>
          <t xml:space="preserve">  Régime emploi salarié à domicile : 50% des dépenses, plafond 12 000€ + 1 500€/enfant (max 15 000€)</t>
        </is>
      </c>
    </row>
    <row r="16" ht="15" customHeight="1" s="43">
      <c r="B16" s="83" t="inlineStr">
        <is>
          <t xml:space="preserve">  Attention : le 3 500€/enfant concerne les frais de garde hors domicile (assmat/crèche), pas la GAD</t>
        </is>
      </c>
    </row>
    <row r="18" ht="15" customHeight="1" s="43">
      <c r="B18" s="67" t="inlineStr">
        <is>
          <t>HEURES SUPPLÉMENTAIRES</t>
        </is>
      </c>
    </row>
    <row r="19" ht="15" customHeight="1" s="43">
      <c r="B19" s="83" t="inlineStr">
        <is>
          <t xml:space="preserve">  +25% de 40h à 48h, +50% au-delà (max 50h/semaine)</t>
        </is>
      </c>
    </row>
    <row r="21" ht="15" customHeight="1" s="43">
      <c r="B21" s="67" t="inlineStr">
        <is>
          <t>SOURCES</t>
        </is>
      </c>
    </row>
    <row r="22" ht="15" customHeight="1" s="43">
      <c r="B22" s="83" t="inlineStr">
        <is>
          <t xml:space="preserve">  URSSAF Pajemploi — taux cotisations 2026</t>
        </is>
      </c>
    </row>
    <row r="23" ht="15" customHeight="1" s="43">
      <c r="B23" s="83" t="inlineStr">
        <is>
          <t xml:space="preserve">  CAF — réforme CMG sept. 2025</t>
        </is>
      </c>
    </row>
    <row r="24" ht="15" customHeight="1" s="43">
      <c r="B24" s="83" t="inlineStr">
        <is>
          <t xml:space="preserve">  France Emploi Domicile — calcul nouveau CMG</t>
        </is>
      </c>
    </row>
    <row r="25" ht="15" customHeight="1" s="43">
      <c r="B25" s="83" t="inlineStr">
        <is>
          <t xml:space="preserve">  Service Public — nouveau calcul CMG</t>
        </is>
      </c>
    </row>
    <row r="26" ht="15" customHeight="1" s="43">
      <c r="B26" s="83" t="inlineStr">
        <is>
          <t xml:space="preserve">  economie.gouv.fr — crédit impôt emploi à domicile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2026-03-20T16:07:15Z</dcterms:created>
  <dcterms:modified xmlns:dcterms="http://purl.org/dc/terms/" xmlns:xsi="http://www.w3.org/2001/XMLSchema-instance" xsi:type="dcterms:W3CDTF">2026-03-22T12:31:12Z</dcterms:modified>
  <cp:revision>4</cp:revision>
</cp:coreProperties>
</file>